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лютий" sheetId="1" r:id="rId1"/>
    <sheet name="січень-2" sheetId="2" r:id="rId2"/>
    <sheet name="січень" sheetId="3" r:id="rId3"/>
  </sheets>
  <definedNames>
    <definedName name="_xlnm.Print_Area" localSheetId="2">'січень'!$A$1:$R$87</definedName>
  </definedNames>
  <calcPr fullCalcOnLoad="1"/>
</workbook>
</file>

<file path=xl/sharedStrings.xml><?xml version="1.0" encoding="utf-8"?>
<sst xmlns="http://schemas.openxmlformats.org/spreadsheetml/2006/main" count="376" uniqueCount="140">
  <si>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</si>
  <si>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</si>
  <si>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</si>
  <si>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</si>
  <si>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</si>
  <si>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</si>
  <si>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</si>
  <si>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</si>
  <si>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</si>
  <si>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</si>
  <si>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</si>
  <si>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</si>
  <si>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</si>
  <si>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</si>
  <si>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</si>
  <si>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</si>
  <si>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</si>
  <si>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</si>
  <si>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</si>
  <si>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</si>
  <si>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</si>
  <si>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</si>
  <si>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</si>
  <si>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</si>
  <si>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</si>
  <si>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</si>
  <si>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</si>
  <si>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</si>
  <si>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</si>
  <si>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</si>
  <si>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</si>
  <si>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</si>
  <si>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</si>
  <si>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</si>
  <si>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</si>
  <si>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</si>
  <si>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</si>
  <si>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</si>
  <si>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</si>
  <si>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</si>
  <si>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</si>
  <si>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</si>
  <si>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</si>
  <si>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</si>
  <si>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</si>
  <si>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</si>
  <si>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</si>
  <si>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</si>
  <si>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</si>
  <si>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</si>
  <si>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</si>
  <si>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</si>
  <si>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</si>
  <si>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</si>
  <si>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</si>
  <si>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</si>
  <si>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</si>
  <si>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</si>
  <si>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</si>
  <si>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</si>
  <si>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</si>
  <si>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</si>
  <si>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</si>
  <si>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</si>
  <si>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</si>
  <si>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</si>
  <si>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</si>
  <si>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</si>
  <si>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</si>
  <si>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</si>
  <si>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</si>
  <si>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</si>
  <si>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</si>
  <si>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</si>
  <si>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</si>
  <si>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</si>
  <si>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</si>
  <si>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</si>
  <si>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</si>
  <si>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</si>
  <si>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</si>
  <si>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</si>
  <si>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</si>
  <si>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</si>
  <si>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</si>
  <si>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</si>
  <si>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</si>
  <si>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</si>
  <si>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</si>
  <si>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</si>
  <si>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</si>
  <si>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</si>
  <si>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</si>
  <si>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</si>
  <si>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</si>
  <si>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</si>
  <si>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</si>
  <si>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</si>
  <si>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</si>
  <si>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</si>
  <si>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</si>
  <si>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</si>
  <si>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</si>
  <si>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</si>
  <si>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</si>
  <si>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</si>
  <si>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</si>
  <si>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</si>
  <si>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</si>
  <si>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</si>
  <si>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</si>
  <si>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</si>
  <si>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</si>
  <si>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</si>
  <si>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</si>
  <si>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</si>
  <si>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</si>
  <si>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</si>
  <si>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</si>
  <si>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</si>
  <si>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</si>
  <si>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</si>
  <si>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</si>
  <si>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</si>
  <si>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</si>
  <si>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</si>
  <si>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</si>
  <si>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</si>
  <si>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</si>
  <si>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</si>
  <si>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</si>
  <si>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</si>
  <si>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</si>
  <si>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</si>
  <si>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</si>
  <si>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</si>
  <si>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</si>
  <si>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</si>
  <si>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19.02.2016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</si>
  <si>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18.02.16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</si>
</sst>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73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27" fillId="0" borderId="0">
      <alignment/>
      <protection/>
    </xf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26" fillId="0" borderId="0">
      <alignment/>
      <protection/>
    </xf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2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7" fillId="0" borderId="0" xfId="54" applyFont="1" applyBorder="1" applyAlignment="1" applyProtection="1">
      <alignment horizontal="center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0" fontId="7" fillId="0" borderId="0" xfId="54" applyFont="1" applyAlignment="1" applyProtection="1">
      <alignment horizontal="right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6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17" xfId="54" applyFont="1" applyFill="1" applyBorder="1" applyAlignment="1" applyProtection="1">
      <alignment horizontal="center" vertical="center" wrapText="1"/>
      <protection/>
    </xf>
    <xf numFmtId="0" fontId="25" fillId="0" borderId="18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6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6" xfId="59" applyFont="1" applyFill="1" applyBorder="1" applyAlignment="1" applyProtection="1">
      <alignment horizontal="center" vertical="center" wrapText="1"/>
      <protection/>
    </xf>
    <xf numFmtId="0" fontId="25" fillId="13" borderId="19" xfId="54" applyFont="1" applyFill="1" applyBorder="1" applyAlignment="1" applyProtection="1">
      <alignment horizontal="center" vertical="center" wrapText="1"/>
      <protection/>
    </xf>
    <xf numFmtId="0" fontId="25" fillId="13" borderId="16" xfId="54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/>
      <protection/>
    </xf>
    <xf numFmtId="0" fontId="3" fillId="0" borderId="0" xfId="54" applyFont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9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19" xfId="54" applyNumberFormat="1" applyFont="1" applyFill="1" applyBorder="1" applyAlignment="1" applyProtection="1">
      <alignment horizontal="center" vertical="center" wrapText="1"/>
      <protection/>
    </xf>
    <xf numFmtId="182" fontId="4" fillId="0" borderId="16" xfId="54" applyNumberFormat="1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6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tabSelected="1" zoomScale="81" zoomScaleNormal="81" zoomScalePageLayoutView="0" workbookViewId="0" topLeftCell="B1">
      <pane xSplit="2" ySplit="8" topLeftCell="D7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81" sqref="N8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06" t="s">
        <v>138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92"/>
      <c r="R1" s="93"/>
    </row>
    <row r="2" spans="2:18" s="1" customFormat="1" ht="15.75" customHeight="1">
      <c r="B2" s="207"/>
      <c r="C2" s="207"/>
      <c r="D2" s="207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08"/>
      <c r="B3" s="210"/>
      <c r="C3" s="211" t="s">
        <v>0</v>
      </c>
      <c r="D3" s="212" t="s">
        <v>121</v>
      </c>
      <c r="E3" s="34"/>
      <c r="F3" s="213" t="s">
        <v>26</v>
      </c>
      <c r="G3" s="214"/>
      <c r="H3" s="214"/>
      <c r="I3" s="214"/>
      <c r="J3" s="215"/>
      <c r="K3" s="89"/>
      <c r="L3" s="89"/>
      <c r="M3" s="216" t="s">
        <v>128</v>
      </c>
      <c r="N3" s="217" t="s">
        <v>119</v>
      </c>
      <c r="O3" s="217"/>
      <c r="P3" s="217"/>
      <c r="Q3" s="217"/>
      <c r="R3" s="217"/>
    </row>
    <row r="4" spans="1:18" ht="22.5" customHeight="1">
      <c r="A4" s="208"/>
      <c r="B4" s="210"/>
      <c r="C4" s="211"/>
      <c r="D4" s="212"/>
      <c r="E4" s="218" t="s">
        <v>127</v>
      </c>
      <c r="F4" s="200" t="s">
        <v>34</v>
      </c>
      <c r="G4" s="194" t="s">
        <v>116</v>
      </c>
      <c r="H4" s="202" t="s">
        <v>117</v>
      </c>
      <c r="I4" s="194" t="s">
        <v>122</v>
      </c>
      <c r="J4" s="202" t="s">
        <v>123</v>
      </c>
      <c r="K4" s="91" t="s">
        <v>65</v>
      </c>
      <c r="L4" s="96" t="s">
        <v>64</v>
      </c>
      <c r="M4" s="202"/>
      <c r="N4" s="204" t="s">
        <v>139</v>
      </c>
      <c r="O4" s="194" t="s">
        <v>50</v>
      </c>
      <c r="P4" s="196" t="s">
        <v>49</v>
      </c>
      <c r="Q4" s="97" t="s">
        <v>65</v>
      </c>
      <c r="R4" s="98" t="s">
        <v>64</v>
      </c>
    </row>
    <row r="5" spans="1:18" ht="92.25" customHeight="1">
      <c r="A5" s="209"/>
      <c r="B5" s="210"/>
      <c r="C5" s="211"/>
      <c r="D5" s="212"/>
      <c r="E5" s="219"/>
      <c r="F5" s="201"/>
      <c r="G5" s="195"/>
      <c r="H5" s="203"/>
      <c r="I5" s="195"/>
      <c r="J5" s="203"/>
      <c r="K5" s="197" t="s">
        <v>118</v>
      </c>
      <c r="L5" s="198"/>
      <c r="M5" s="203"/>
      <c r="N5" s="205"/>
      <c r="O5" s="195"/>
      <c r="P5" s="196"/>
      <c r="Q5" s="197" t="s">
        <v>120</v>
      </c>
      <c r="R5" s="198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</f>
        <v>104282.85</v>
      </c>
      <c r="G8" s="15">
        <f aca="true" t="shared" si="0" ref="G8:G21">F8-E8</f>
        <v>-18429.919999999984</v>
      </c>
      <c r="H8" s="38">
        <f>F8/E8*100</f>
        <v>84.98125337729726</v>
      </c>
      <c r="I8" s="28">
        <f>F8-D8</f>
        <v>-736767.15</v>
      </c>
      <c r="J8" s="28">
        <f>F8/D8*100</f>
        <v>12.39912609238452</v>
      </c>
      <c r="K8" s="15">
        <f>K9+K15+K18+K19+K20+K32</f>
        <v>12928.390000000001</v>
      </c>
      <c r="L8" s="15">
        <f>F8/91354.4*100</f>
        <v>114.15197297557644</v>
      </c>
      <c r="M8" s="15">
        <f>M9+M15+M18+M19+M20+M32+M17</f>
        <v>62152</v>
      </c>
      <c r="N8" s="15">
        <f>N9+N15+N18+N19+N20+N32+N17</f>
        <v>43702.22000000001</v>
      </c>
      <c r="O8" s="15">
        <f>N8-M8</f>
        <v>-18449.77999999999</v>
      </c>
      <c r="P8" s="15">
        <f>N8/M8*100</f>
        <v>70.3150662890977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52953.14</v>
      </c>
      <c r="G9" s="36">
        <f t="shared" si="0"/>
        <v>-7637.125</v>
      </c>
      <c r="H9" s="32">
        <f>F9/E9*100</f>
        <v>87.39545865990188</v>
      </c>
      <c r="I9" s="42">
        <f>F9-D9</f>
        <v>-406746.86</v>
      </c>
      <c r="J9" s="42">
        <f>F9/D9*100</f>
        <v>11.51906460735262</v>
      </c>
      <c r="K9" s="106">
        <f>F9-49687.49</f>
        <v>3265.6500000000015</v>
      </c>
      <c r="L9" s="106">
        <f>F9/49687.49*100</f>
        <v>106.57237868123346</v>
      </c>
      <c r="M9" s="32">
        <v>30377</v>
      </c>
      <c r="N9" s="178">
        <f>F9-січень!F9</f>
        <v>22739.87</v>
      </c>
      <c r="O9" s="40">
        <f>N9-M9</f>
        <v>-7637.130000000001</v>
      </c>
      <c r="P9" s="42">
        <f>N9/M9*100</f>
        <v>74.85884057016821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47220.72</v>
      </c>
      <c r="G10" s="109">
        <f t="shared" si="0"/>
        <v>-7153.119999999995</v>
      </c>
      <c r="H10" s="32">
        <f aca="true" t="shared" si="1" ref="H10:H18">F10/E10*100</f>
        <v>86.84455613214003</v>
      </c>
      <c r="I10" s="110">
        <f aca="true" t="shared" si="2" ref="I10:I32">F10-D10</f>
        <v>-364219.28</v>
      </c>
      <c r="J10" s="110">
        <f aca="true" t="shared" si="3" ref="J10:J31">F10/D10*100</f>
        <v>11.476939529457516</v>
      </c>
      <c r="K10" s="112">
        <f>F10-43781.83</f>
        <v>3438.8899999999994</v>
      </c>
      <c r="L10" s="112">
        <f>F10/43781.83*100</f>
        <v>107.85460543791797</v>
      </c>
      <c r="M10" s="111">
        <v>27490</v>
      </c>
      <c r="N10" s="179">
        <f>F10-січень!F10</f>
        <v>20336.88</v>
      </c>
      <c r="O10" s="112">
        <f aca="true" t="shared" si="4" ref="O10:O32">N10-M10</f>
        <v>-7153.119999999999</v>
      </c>
      <c r="P10" s="42">
        <f aca="true" t="shared" si="5" ref="P10:P18">N10/M10*100</f>
        <v>73.97919243361223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3410.06</v>
      </c>
      <c r="G11" s="109">
        <f t="shared" si="0"/>
        <v>-524.8800000000001</v>
      </c>
      <c r="H11" s="32">
        <f t="shared" si="1"/>
        <v>86.661041845619</v>
      </c>
      <c r="I11" s="110">
        <f t="shared" si="2"/>
        <v>-19589.94</v>
      </c>
      <c r="J11" s="110">
        <f t="shared" si="3"/>
        <v>14.826347826086955</v>
      </c>
      <c r="K11" s="112">
        <f>F11-3453.77</f>
        <v>-43.710000000000036</v>
      </c>
      <c r="L11" s="112">
        <f>F11/3453.77*100</f>
        <v>98.73442643835577</v>
      </c>
      <c r="M11" s="111">
        <v>1250</v>
      </c>
      <c r="N11" s="179">
        <f>F11-січень!F11</f>
        <v>725.1199999999999</v>
      </c>
      <c r="O11" s="112">
        <f t="shared" si="4"/>
        <v>-524.8800000000001</v>
      </c>
      <c r="P11" s="42">
        <f t="shared" si="5"/>
        <v>58.00959999999999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677.31</v>
      </c>
      <c r="G12" s="109">
        <f t="shared" si="0"/>
        <v>51.69999999999993</v>
      </c>
      <c r="H12" s="32">
        <f t="shared" si="1"/>
        <v>108.26393440002558</v>
      </c>
      <c r="I12" s="110">
        <f t="shared" si="2"/>
        <v>-5822.6900000000005</v>
      </c>
      <c r="J12" s="110">
        <f t="shared" si="3"/>
        <v>10.420153846153845</v>
      </c>
      <c r="K12" s="112">
        <f>F12-805.51</f>
        <v>-128.20000000000005</v>
      </c>
      <c r="L12" s="112">
        <f>F12/805.51*100</f>
        <v>84.0846171990416</v>
      </c>
      <c r="M12" s="111">
        <v>192</v>
      </c>
      <c r="N12" s="179">
        <f>F12-січень!F12</f>
        <v>243.69999999999993</v>
      </c>
      <c r="O12" s="112">
        <f t="shared" si="4"/>
        <v>51.69999999999993</v>
      </c>
      <c r="P12" s="42">
        <f t="shared" si="5"/>
        <v>126.92708333333329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1190.07</v>
      </c>
      <c r="G13" s="109">
        <f t="shared" si="0"/>
        <v>160.2349999999999</v>
      </c>
      <c r="H13" s="32">
        <f t="shared" si="1"/>
        <v>115.55928862390576</v>
      </c>
      <c r="I13" s="110">
        <f t="shared" si="2"/>
        <v>-11209.93</v>
      </c>
      <c r="J13" s="110">
        <f t="shared" si="3"/>
        <v>9.59733870967742</v>
      </c>
      <c r="K13" s="112">
        <f>F13-707.92</f>
        <v>482.15</v>
      </c>
      <c r="L13" s="112">
        <f>F13/707.92*100</f>
        <v>168.10797830263306</v>
      </c>
      <c r="M13" s="111">
        <v>820</v>
      </c>
      <c r="N13" s="179">
        <f>F13-січень!F13</f>
        <v>980.2299999999999</v>
      </c>
      <c r="O13" s="112">
        <f t="shared" si="4"/>
        <v>160.2299999999999</v>
      </c>
      <c r="P13" s="42">
        <f t="shared" si="5"/>
        <v>119.540243902439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83.31</v>
      </c>
      <c r="G15" s="36">
        <f t="shared" si="0"/>
        <v>83.31</v>
      </c>
      <c r="H15" s="32"/>
      <c r="I15" s="42">
        <f t="shared" si="2"/>
        <v>-416.69</v>
      </c>
      <c r="J15" s="42">
        <f t="shared" si="3"/>
        <v>16.662000000000003</v>
      </c>
      <c r="K15" s="43">
        <f>F15-(-976.48)</f>
        <v>1059.79</v>
      </c>
      <c r="L15" s="43">
        <f>F15/(-976.48)*100</f>
        <v>-8.531664755038506</v>
      </c>
      <c r="M15" s="32">
        <v>0</v>
      </c>
      <c r="N15" s="178">
        <f>F15-січень!F15</f>
        <v>83.31</v>
      </c>
      <c r="O15" s="40">
        <f t="shared" si="4"/>
        <v>83.31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5944.71</v>
      </c>
      <c r="G19" s="36">
        <f t="shared" si="0"/>
        <v>-6115.69</v>
      </c>
      <c r="H19" s="32">
        <f aca="true" t="shared" si="6" ref="H19:H31">F19/E19*100</f>
        <v>49.29115120559849</v>
      </c>
      <c r="I19" s="42">
        <f t="shared" si="2"/>
        <v>-103955.29</v>
      </c>
      <c r="J19" s="42">
        <f t="shared" si="3"/>
        <v>5.409199272065514</v>
      </c>
      <c r="K19" s="133">
        <f>F19-3525.13</f>
        <v>2419.58</v>
      </c>
      <c r="L19" s="40">
        <f>F19/3525.13*100</f>
        <v>168.63803604406078</v>
      </c>
      <c r="M19" s="32">
        <v>6500</v>
      </c>
      <c r="N19" s="178">
        <f>F19-січень!F19</f>
        <v>384.3100000000004</v>
      </c>
      <c r="O19" s="40">
        <f t="shared" si="4"/>
        <v>-6115.69</v>
      </c>
      <c r="P19" s="42">
        <f aca="true" t="shared" si="7" ref="P19:P25">N19/M19*100</f>
        <v>5.912461538461545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73">
        <f>F21+F25+F27+F26</f>
        <v>45195.840000000004</v>
      </c>
      <c r="G20" s="36">
        <f t="shared" si="0"/>
        <v>-4856.264999999992</v>
      </c>
      <c r="H20" s="32">
        <f t="shared" si="6"/>
        <v>90.29758089095355</v>
      </c>
      <c r="I20" s="42">
        <f t="shared" si="2"/>
        <v>-225744.16</v>
      </c>
      <c r="J20" s="42">
        <f t="shared" si="3"/>
        <v>16.681124972318596</v>
      </c>
      <c r="K20" s="132">
        <f>F20-37103.23</f>
        <v>8092.610000000001</v>
      </c>
      <c r="L20" s="110">
        <f>F20/37103.23*100</f>
        <v>121.81106604465432</v>
      </c>
      <c r="M20" s="32">
        <f>M21+M25+M26+M27</f>
        <v>25265</v>
      </c>
      <c r="N20" s="178">
        <f>F20-січень!F20</f>
        <v>20398.780000000002</v>
      </c>
      <c r="O20" s="40">
        <f t="shared" si="4"/>
        <v>-4866.2199999999975</v>
      </c>
      <c r="P20" s="42">
        <f t="shared" si="7"/>
        <v>80.73928359390462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14509.18</v>
      </c>
      <c r="G21" s="36">
        <f t="shared" si="0"/>
        <v>-8987.079999999998</v>
      </c>
      <c r="H21" s="32">
        <f t="shared" si="6"/>
        <v>61.75101909835864</v>
      </c>
      <c r="I21" s="42">
        <f t="shared" si="2"/>
        <v>-146890.82</v>
      </c>
      <c r="J21" s="42">
        <f t="shared" si="3"/>
        <v>8.989578686493186</v>
      </c>
      <c r="K21" s="132">
        <f>F21-15266.79</f>
        <v>-757.6100000000006</v>
      </c>
      <c r="L21" s="110">
        <f>F21/15266.79*100</f>
        <v>95.03752917279925</v>
      </c>
      <c r="M21" s="32">
        <f>M22+M23+M24</f>
        <v>11597</v>
      </c>
      <c r="N21" s="178">
        <f>F21-січень!F21</f>
        <v>2609.880000000001</v>
      </c>
      <c r="O21" s="40">
        <f t="shared" si="4"/>
        <v>-8987.119999999999</v>
      </c>
      <c r="P21" s="42">
        <f t="shared" si="7"/>
        <v>22.50478572044495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3318.92</v>
      </c>
      <c r="G22" s="109">
        <f>F22-E22</f>
        <v>27.320000000000164</v>
      </c>
      <c r="H22" s="111">
        <f t="shared" si="6"/>
        <v>100.82999149349861</v>
      </c>
      <c r="I22" s="110">
        <f t="shared" si="2"/>
        <v>-15181.08</v>
      </c>
      <c r="J22" s="110">
        <f t="shared" si="3"/>
        <v>17.940108108108106</v>
      </c>
      <c r="K22" s="110">
        <f>F22-306.01</f>
        <v>3012.91</v>
      </c>
      <c r="L22" s="110">
        <f>F22/306.01*100</f>
        <v>1084.5789353289108</v>
      </c>
      <c r="M22" s="111">
        <v>242</v>
      </c>
      <c r="N22" s="179">
        <f>F22-січень!F22</f>
        <v>269.32000000000016</v>
      </c>
      <c r="O22" s="112">
        <f t="shared" si="4"/>
        <v>27.320000000000164</v>
      </c>
      <c r="P22" s="110">
        <f t="shared" si="7"/>
        <v>111.28925619834718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172.13</v>
      </c>
      <c r="G23" s="109">
        <f>F23-E23</f>
        <v>-29.710000000000008</v>
      </c>
      <c r="H23" s="111">
        <f t="shared" si="6"/>
        <v>85.2804201347602</v>
      </c>
      <c r="I23" s="110">
        <f t="shared" si="2"/>
        <v>-2627.87</v>
      </c>
      <c r="J23" s="110">
        <f t="shared" si="3"/>
        <v>6.147499999999999</v>
      </c>
      <c r="K23" s="110">
        <f>F23-6.25</f>
        <v>165.88</v>
      </c>
      <c r="L23" s="110">
        <f>F23/6.25*100</f>
        <v>2754.08</v>
      </c>
      <c r="M23" s="111">
        <v>45</v>
      </c>
      <c r="N23" s="179">
        <f>F23-січень!F23</f>
        <v>15.259999999999991</v>
      </c>
      <c r="O23" s="112">
        <f t="shared" si="4"/>
        <v>-29.74000000000001</v>
      </c>
      <c r="P23" s="110">
        <f t="shared" si="7"/>
        <v>33.91111111111109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11018.13</v>
      </c>
      <c r="G24" s="109">
        <f>F24-E24</f>
        <v>-8984.69</v>
      </c>
      <c r="H24" s="111">
        <f t="shared" si="6"/>
        <v>55.082883313452804</v>
      </c>
      <c r="I24" s="110">
        <f t="shared" si="2"/>
        <v>-129081.87</v>
      </c>
      <c r="J24" s="110">
        <f t="shared" si="3"/>
        <v>7.864475374732334</v>
      </c>
      <c r="K24" s="174">
        <f>F24-14954.53</f>
        <v>-3936.4000000000015</v>
      </c>
      <c r="L24" s="174">
        <f>F24/14954.53*100</f>
        <v>73.67754118651672</v>
      </c>
      <c r="M24" s="111">
        <v>11310</v>
      </c>
      <c r="N24" s="179">
        <f>F24-січень!F24</f>
        <v>2325.2999999999993</v>
      </c>
      <c r="O24" s="112">
        <f t="shared" si="4"/>
        <v>-8984.7</v>
      </c>
      <c r="P24" s="110">
        <f t="shared" si="7"/>
        <v>20.559681697612724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18.98</v>
      </c>
      <c r="G25" s="36">
        <f>F25-E25</f>
        <v>8.375</v>
      </c>
      <c r="H25" s="32">
        <f t="shared" si="6"/>
        <v>178.97218293257896</v>
      </c>
      <c r="I25" s="42">
        <f t="shared" si="2"/>
        <v>-58.019999999999996</v>
      </c>
      <c r="J25" s="42">
        <f t="shared" si="3"/>
        <v>24.649350649350648</v>
      </c>
      <c r="K25" s="132">
        <f>F25-14.22</f>
        <v>4.76</v>
      </c>
      <c r="L25" s="132">
        <f>F25/14.22*100</f>
        <v>133.47398030942335</v>
      </c>
      <c r="M25" s="32">
        <v>8</v>
      </c>
      <c r="N25" s="178">
        <f>F25-січень!F25</f>
        <v>16.37</v>
      </c>
      <c r="O25" s="40">
        <f t="shared" si="4"/>
        <v>8.370000000000001</v>
      </c>
      <c r="P25" s="42">
        <f t="shared" si="7"/>
        <v>204.625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-49.52</v>
      </c>
      <c r="G26" s="36">
        <f aca="true" t="shared" si="8" ref="G26:G32">F26-E26</f>
        <v>-49.52</v>
      </c>
      <c r="H26" s="32"/>
      <c r="I26" s="42">
        <f t="shared" si="2"/>
        <v>-49.52</v>
      </c>
      <c r="J26" s="42"/>
      <c r="K26" s="132">
        <f>F26-87.67</f>
        <v>-137.19</v>
      </c>
      <c r="L26" s="132">
        <f>F26/87.67*100</f>
        <v>-56.484544313904415</v>
      </c>
      <c r="M26" s="32">
        <f>E26-січень!E26</f>
        <v>0</v>
      </c>
      <c r="N26" s="178">
        <f>F26-січень!F26</f>
        <v>-49.17</v>
      </c>
      <c r="O26" s="40">
        <f t="shared" si="4"/>
        <v>-49.17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30717.2</v>
      </c>
      <c r="G27" s="36">
        <f t="shared" si="8"/>
        <v>4171.959999999999</v>
      </c>
      <c r="H27" s="32">
        <f t="shared" si="6"/>
        <v>115.71641469431053</v>
      </c>
      <c r="I27" s="42">
        <f t="shared" si="2"/>
        <v>-78745.8</v>
      </c>
      <c r="J27" s="42">
        <f t="shared" si="3"/>
        <v>28.061719485122826</v>
      </c>
      <c r="K27" s="106">
        <f>F27-21734.55</f>
        <v>8982.650000000001</v>
      </c>
      <c r="L27" s="106">
        <f>F27/21734.55*100</f>
        <v>141.32889799880837</v>
      </c>
      <c r="M27" s="32">
        <v>13660</v>
      </c>
      <c r="N27" s="178">
        <f>F27-січень!F27</f>
        <v>17821.7</v>
      </c>
      <c r="O27" s="40">
        <f t="shared" si="4"/>
        <v>4161.700000000001</v>
      </c>
      <c r="P27" s="42">
        <f>N27/M27*100</f>
        <v>130.46632503660322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8175.63</v>
      </c>
      <c r="G29" s="109">
        <f t="shared" si="8"/>
        <v>2519.66</v>
      </c>
      <c r="H29" s="111">
        <f t="shared" si="6"/>
        <v>144.54868042086503</v>
      </c>
      <c r="I29" s="110">
        <f t="shared" si="2"/>
        <v>-19424.37</v>
      </c>
      <c r="J29" s="110">
        <f t="shared" si="3"/>
        <v>29.621847826086956</v>
      </c>
      <c r="K29" s="142">
        <f>F29-5853.24</f>
        <v>2322.3900000000003</v>
      </c>
      <c r="L29" s="142">
        <f>F29/5853.24*100</f>
        <v>139.6769994054575</v>
      </c>
      <c r="M29" s="111">
        <v>3500</v>
      </c>
      <c r="N29" s="179">
        <f>F29-січень!F29</f>
        <v>6019.66</v>
      </c>
      <c r="O29" s="112">
        <f t="shared" si="4"/>
        <v>2519.66</v>
      </c>
      <c r="P29" s="110">
        <f>N29/M29*100</f>
        <v>171.9902857142857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22534</v>
      </c>
      <c r="G30" s="109">
        <f t="shared" si="8"/>
        <v>1647.9199999999983</v>
      </c>
      <c r="H30" s="111">
        <f t="shared" si="6"/>
        <v>107.8900396819317</v>
      </c>
      <c r="I30" s="110">
        <f t="shared" si="2"/>
        <v>-59278</v>
      </c>
      <c r="J30" s="110">
        <f t="shared" si="3"/>
        <v>27.54363663032318</v>
      </c>
      <c r="K30" s="142">
        <f>F30-15877.68</f>
        <v>6656.32</v>
      </c>
      <c r="L30" s="142">
        <f>F30/15877.68*100</f>
        <v>141.92249749333655</v>
      </c>
      <c r="M30" s="111">
        <v>10160</v>
      </c>
      <c r="N30" s="179">
        <f>F30-січень!F30</f>
        <v>11797.66</v>
      </c>
      <c r="O30" s="112">
        <f t="shared" si="4"/>
        <v>1637.6599999999999</v>
      </c>
      <c r="P30" s="110">
        <f>N30/M30*100</f>
        <v>116.11870078740156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</f>
        <v>4338.61</v>
      </c>
      <c r="G33" s="15">
        <f>G34+G35+G36+G37+G38+G39+G41+G42+G43+G44+G45+G50+G51+G55</f>
        <v>-596.4160000000002</v>
      </c>
      <c r="H33" s="38">
        <f>F33/E33*100</f>
        <v>87.9146330738683</v>
      </c>
      <c r="I33" s="28">
        <f>F33-D33</f>
        <v>-38481.39</v>
      </c>
      <c r="J33" s="28">
        <f>F33/D33*100</f>
        <v>10.132204577300326</v>
      </c>
      <c r="K33" s="15">
        <f>F33-4883.7</f>
        <v>-545.0900000000001</v>
      </c>
      <c r="L33" s="15">
        <f>F33/4883.7*100</f>
        <v>88.83858549869976</v>
      </c>
      <c r="M33" s="15">
        <f>M34+M35+M36+M37+M38+M39+M41+M42+M43+M44+M45+M50+M51+M55</f>
        <v>2907.3</v>
      </c>
      <c r="N33" s="15">
        <f>N34+N35+N36+N37+N38+N39+N41+N42+N43+N44+N45+N50+N51+N55</f>
        <v>2307.6400000000003</v>
      </c>
      <c r="O33" s="15">
        <f>O34+O35+O36+O37+O38+O39+O41+O42+O43+O44+O45+O50+O51+O55</f>
        <v>-599.6600000000001</v>
      </c>
      <c r="P33" s="15">
        <f>N33/M33*100</f>
        <v>79.37398961235512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77.31</v>
      </c>
      <c r="G34" s="36">
        <f>F34-E34</f>
        <v>27.310000000000002</v>
      </c>
      <c r="H34" s="32">
        <f aca="true" t="shared" si="9" ref="H34:H56">F34/E34*100</f>
        <v>154.62</v>
      </c>
      <c r="I34" s="42">
        <f>F34-D34</f>
        <v>-22.689999999999998</v>
      </c>
      <c r="J34" s="42">
        <f>F34/D34*100</f>
        <v>77.31</v>
      </c>
      <c r="K34" s="42">
        <f>F34-(-3.86)</f>
        <v>81.17</v>
      </c>
      <c r="L34" s="42">
        <f>F34/(-3.86)*100</f>
        <v>-2002.8497409326426</v>
      </c>
      <c r="M34" s="32">
        <v>45.3</v>
      </c>
      <c r="N34" s="178">
        <f>F34-січень!F34</f>
        <v>72.60000000000001</v>
      </c>
      <c r="O34" s="40">
        <f>N34-M34</f>
        <v>27.30000000000001</v>
      </c>
      <c r="P34" s="42">
        <f aca="true" t="shared" si="10" ref="P34:P56">N34/M34*100</f>
        <v>160.26490066225168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-0.1</v>
      </c>
      <c r="G38" s="36">
        <f t="shared" si="11"/>
        <v>-20.1</v>
      </c>
      <c r="H38" s="32">
        <f t="shared" si="9"/>
        <v>-0.5</v>
      </c>
      <c r="I38" s="42">
        <f t="shared" si="12"/>
        <v>-150.1</v>
      </c>
      <c r="J38" s="42">
        <f t="shared" si="14"/>
        <v>-0.06666666666666668</v>
      </c>
      <c r="K38" s="42">
        <f>F38-16.83</f>
        <v>-16.93</v>
      </c>
      <c r="L38" s="42">
        <f>F38/16.83*100</f>
        <v>-0.5941770647653002</v>
      </c>
      <c r="M38" s="32">
        <v>10</v>
      </c>
      <c r="N38" s="178">
        <f>F38-січень!F38</f>
        <v>6.300000000000001</v>
      </c>
      <c r="O38" s="40">
        <f t="shared" si="13"/>
        <v>-3.6999999999999993</v>
      </c>
      <c r="P38" s="42">
        <f t="shared" si="10"/>
        <v>63.000000000000014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1052.37</v>
      </c>
      <c r="G41" s="36">
        <f t="shared" si="11"/>
        <v>-286.6450000000002</v>
      </c>
      <c r="H41" s="32">
        <f t="shared" si="9"/>
        <v>78.59284623398541</v>
      </c>
      <c r="I41" s="42">
        <f t="shared" si="12"/>
        <v>-8847.630000000001</v>
      </c>
      <c r="J41" s="42">
        <f t="shared" si="14"/>
        <v>10.629999999999999</v>
      </c>
      <c r="K41" s="42">
        <f>F41-1559.47</f>
        <v>-507.10000000000014</v>
      </c>
      <c r="L41" s="42">
        <f>F41/1559.47*100</f>
        <v>67.48254214572898</v>
      </c>
      <c r="M41" s="32">
        <v>800</v>
      </c>
      <c r="N41" s="178">
        <f>F41-січень!F41</f>
        <v>513.3499999999999</v>
      </c>
      <c r="O41" s="40">
        <f t="shared" si="13"/>
        <v>-286.6500000000001</v>
      </c>
      <c r="P41" s="42">
        <f t="shared" si="10"/>
        <v>64.16874999999999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1303.31</v>
      </c>
      <c r="G44" s="36">
        <f t="shared" si="11"/>
        <v>-62.92000000000007</v>
      </c>
      <c r="H44" s="32">
        <f t="shared" si="9"/>
        <v>95.39462608784758</v>
      </c>
      <c r="I44" s="42">
        <f t="shared" si="12"/>
        <v>-7196.6900000000005</v>
      </c>
      <c r="J44" s="42">
        <f t="shared" si="14"/>
        <v>15.333058823529411</v>
      </c>
      <c r="K44" s="42">
        <f>F44-1319.2</f>
        <v>-15.8900000000001</v>
      </c>
      <c r="L44" s="42">
        <f>F44/1319.2*100</f>
        <v>98.79548211036992</v>
      </c>
      <c r="M44" s="32">
        <v>650</v>
      </c>
      <c r="N44" s="178">
        <f>F44-січень!F44</f>
        <v>587.0799999999999</v>
      </c>
      <c r="O44" s="40">
        <f t="shared" si="13"/>
        <v>-62.92000000000007</v>
      </c>
      <c r="P44" s="42">
        <f t="shared" si="10"/>
        <v>90.32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788.34</v>
      </c>
      <c r="G45" s="36">
        <f t="shared" si="11"/>
        <v>-107.85000000000002</v>
      </c>
      <c r="H45" s="32">
        <f t="shared" si="9"/>
        <v>87.96572155458105</v>
      </c>
      <c r="I45" s="42">
        <f t="shared" si="12"/>
        <v>-6511.66</v>
      </c>
      <c r="J45" s="42">
        <f t="shared" si="14"/>
        <v>10.79917808219178</v>
      </c>
      <c r="K45" s="132">
        <f>F45-1398.47</f>
        <v>-610.13</v>
      </c>
      <c r="L45" s="132">
        <f>F45/1398.47*100</f>
        <v>56.371606112394254</v>
      </c>
      <c r="M45" s="152">
        <v>488</v>
      </c>
      <c r="N45" s="180">
        <f>F45-січень!F45</f>
        <v>380.14000000000004</v>
      </c>
      <c r="O45" s="40">
        <f t="shared" si="13"/>
        <v>-107.85999999999996</v>
      </c>
      <c r="P45" s="132">
        <f t="shared" si="10"/>
        <v>77.89754098360656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63.78</v>
      </c>
      <c r="G46" s="36">
        <f t="shared" si="11"/>
        <v>-49.209999999999994</v>
      </c>
      <c r="H46" s="32">
        <f t="shared" si="9"/>
        <v>56.44747322771927</v>
      </c>
      <c r="I46" s="110">
        <f t="shared" si="12"/>
        <v>-1036.22</v>
      </c>
      <c r="J46" s="42">
        <f t="shared" si="14"/>
        <v>5.798181818181818</v>
      </c>
      <c r="K46" s="110">
        <f>F46-139.45</f>
        <v>-75.66999999999999</v>
      </c>
      <c r="L46" s="110">
        <f>F46/139.45*100</f>
        <v>45.73682323413411</v>
      </c>
      <c r="M46" s="111">
        <v>87</v>
      </c>
      <c r="N46" s="179">
        <f>F46-січень!F46</f>
        <v>37.790000000000006</v>
      </c>
      <c r="O46" s="112">
        <f t="shared" si="13"/>
        <v>-49.209999999999994</v>
      </c>
      <c r="P46" s="132">
        <f t="shared" si="10"/>
        <v>43.43678160919541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0.07</v>
      </c>
      <c r="G47" s="36">
        <f t="shared" si="11"/>
        <v>-0.9649999999999999</v>
      </c>
      <c r="H47" s="32">
        <f t="shared" si="9"/>
        <v>6.76328502415459</v>
      </c>
      <c r="I47" s="110">
        <f t="shared" si="12"/>
        <v>-44.93</v>
      </c>
      <c r="J47" s="42">
        <f t="shared" si="14"/>
        <v>0.15555555555555556</v>
      </c>
      <c r="K47" s="110">
        <f>F47-1.07</f>
        <v>-1</v>
      </c>
      <c r="L47" s="110">
        <f>F47/1.27*100</f>
        <v>5.511811023622048</v>
      </c>
      <c r="M47" s="111">
        <v>1</v>
      </c>
      <c r="N47" s="179">
        <f>F47-січень!F47</f>
        <v>0.030000000000000006</v>
      </c>
      <c r="O47" s="112">
        <f t="shared" si="13"/>
        <v>-0.97</v>
      </c>
      <c r="P47" s="132">
        <f t="shared" si="10"/>
        <v>3.0000000000000004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724.49</v>
      </c>
      <c r="G49" s="36">
        <f t="shared" si="11"/>
        <v>-57.67999999999995</v>
      </c>
      <c r="H49" s="32">
        <f t="shared" si="9"/>
        <v>92.62564404157665</v>
      </c>
      <c r="I49" s="110">
        <f t="shared" si="12"/>
        <v>-5429.51</v>
      </c>
      <c r="J49" s="42">
        <f t="shared" si="14"/>
        <v>11.772668183295417</v>
      </c>
      <c r="K49" s="110">
        <f>F49-1257.34</f>
        <v>-532.8499999999999</v>
      </c>
      <c r="L49" s="110">
        <f>F49/1257.34*100</f>
        <v>57.62085036664706</v>
      </c>
      <c r="M49" s="111">
        <v>400</v>
      </c>
      <c r="N49" s="179">
        <f>F49-січень!F49</f>
        <v>342.32</v>
      </c>
      <c r="O49" s="112">
        <f t="shared" si="13"/>
        <v>-57.68000000000001</v>
      </c>
      <c r="P49" s="132">
        <f t="shared" si="10"/>
        <v>85.58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0.17</v>
      </c>
      <c r="G50" s="36">
        <f t="shared" si="11"/>
        <v>-0.0010000000000000009</v>
      </c>
      <c r="H50" s="32">
        <f t="shared" si="9"/>
        <v>99.41520467836257</v>
      </c>
      <c r="I50" s="42">
        <f t="shared" si="12"/>
        <v>-9.83</v>
      </c>
      <c r="J50" s="42">
        <f t="shared" si="14"/>
        <v>1.7000000000000002</v>
      </c>
      <c r="K50" s="42">
        <f>F50-0</f>
        <v>0.17</v>
      </c>
      <c r="L50" s="42"/>
      <c r="M50" s="32">
        <v>0</v>
      </c>
      <c r="N50" s="178">
        <f>F50-січень!F50</f>
        <v>0</v>
      </c>
      <c r="O50" s="40">
        <f t="shared" si="13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627.24</v>
      </c>
      <c r="G51" s="36">
        <f t="shared" si="11"/>
        <v>-10.740000000000009</v>
      </c>
      <c r="H51" s="32">
        <f t="shared" si="9"/>
        <v>98.31656164770055</v>
      </c>
      <c r="I51" s="42">
        <f t="shared" si="12"/>
        <v>-4172.76</v>
      </c>
      <c r="J51" s="42">
        <f t="shared" si="14"/>
        <v>13.0675</v>
      </c>
      <c r="K51" s="42">
        <f>F51-590.24</f>
        <v>37</v>
      </c>
      <c r="L51" s="42">
        <f>F51/590.24*100</f>
        <v>106.26863648685281</v>
      </c>
      <c r="M51" s="32">
        <v>320</v>
      </c>
      <c r="N51" s="178">
        <f>F51-січень!F51</f>
        <v>309.26</v>
      </c>
      <c r="O51" s="40">
        <f t="shared" si="13"/>
        <v>-10.740000000000009</v>
      </c>
      <c r="P51" s="42">
        <f t="shared" si="10"/>
        <v>96.64375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139.3</v>
      </c>
      <c r="G53" s="36"/>
      <c r="H53" s="32"/>
      <c r="I53" s="42"/>
      <c r="J53" s="42"/>
      <c r="K53" s="112">
        <f>F53-142.7</f>
        <v>-3.3999999999999773</v>
      </c>
      <c r="L53" s="112">
        <f>F53/142.7*100</f>
        <v>97.61737911702875</v>
      </c>
      <c r="M53" s="111"/>
      <c r="N53" s="179">
        <f>F53-січень!F53</f>
        <v>69.10000000000001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1</v>
      </c>
      <c r="G56" s="36">
        <f t="shared" si="11"/>
        <v>-2</v>
      </c>
      <c r="H56" s="32">
        <f t="shared" si="9"/>
        <v>33.33333333333333</v>
      </c>
      <c r="I56" s="42">
        <f t="shared" si="12"/>
        <v>-29</v>
      </c>
      <c r="J56" s="42">
        <f t="shared" si="14"/>
        <v>3.3333333333333335</v>
      </c>
      <c r="K56" s="42">
        <f>F56-3.3</f>
        <v>-2.3</v>
      </c>
      <c r="L56" s="42">
        <f>F56/3.3*100</f>
        <v>30.303030303030305</v>
      </c>
      <c r="M56" s="32">
        <v>2</v>
      </c>
      <c r="N56" s="178">
        <f>F56-січень!F56</f>
        <v>0</v>
      </c>
      <c r="O56" s="40">
        <f t="shared" si="13"/>
        <v>-2</v>
      </c>
      <c r="P56" s="42">
        <f t="shared" si="10"/>
        <v>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108622.46</v>
      </c>
      <c r="G58" s="37">
        <f>F58-E58</f>
        <v>-19028.33599999998</v>
      </c>
      <c r="H58" s="38">
        <f>F58/E58*100</f>
        <v>85.09344508905374</v>
      </c>
      <c r="I58" s="28">
        <f>F58-D58</f>
        <v>-775278.14</v>
      </c>
      <c r="J58" s="28">
        <f>F58/D58*100</f>
        <v>12.288990413627959</v>
      </c>
      <c r="K58" s="28">
        <f>F58-96241.42</f>
        <v>12381.040000000008</v>
      </c>
      <c r="L58" s="28">
        <f>F58/96241.42*100</f>
        <v>112.86456496589514</v>
      </c>
      <c r="M58" s="15">
        <f>M8+M33+M56+M57</f>
        <v>65061.3</v>
      </c>
      <c r="N58" s="15">
        <f>N8+N33+N56+N57</f>
        <v>46009.86000000001</v>
      </c>
      <c r="O58" s="41">
        <f>N58-M58</f>
        <v>-19051.439999999995</v>
      </c>
      <c r="P58" s="28">
        <f>N58/M58*100</f>
        <v>70.717707761757</v>
      </c>
      <c r="Q58" s="28">
        <f>N58-34768</f>
        <v>11241.860000000008</v>
      </c>
      <c r="R58" s="128">
        <f>N58/34768</f>
        <v>1.3233392774965487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0.07</v>
      </c>
      <c r="G67" s="36">
        <f aca="true" t="shared" si="15" ref="G67:G77">F67-E67</f>
        <v>0.07</v>
      </c>
      <c r="H67" s="32"/>
      <c r="I67" s="43">
        <f aca="true" t="shared" si="16" ref="I67:I77">F67-D67</f>
        <v>-4199.93</v>
      </c>
      <c r="J67" s="43">
        <f>F67/D67*100</f>
        <v>0.0016666666666666668</v>
      </c>
      <c r="K67" s="43">
        <f>F67-0.08</f>
        <v>-0.009999999999999995</v>
      </c>
      <c r="L67" s="43">
        <f>F67/0.08*100</f>
        <v>87.50000000000001</v>
      </c>
      <c r="M67" s="32">
        <v>0</v>
      </c>
      <c r="N67" s="178">
        <f>F67-січень!F67</f>
        <v>0.010000000000000009</v>
      </c>
      <c r="O67" s="40">
        <f aca="true" t="shared" si="17" ref="O67:O80">N67-M67</f>
        <v>0.010000000000000009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193.89</v>
      </c>
      <c r="G68" s="36">
        <f t="shared" si="15"/>
        <v>-938.5100000000001</v>
      </c>
      <c r="H68" s="32">
        <f>F68/E68*100</f>
        <v>17.122041681384665</v>
      </c>
      <c r="I68" s="43">
        <f t="shared" si="16"/>
        <v>-7265.11</v>
      </c>
      <c r="J68" s="43">
        <f>F68/D68*100</f>
        <v>2.599410108593645</v>
      </c>
      <c r="K68" s="43">
        <f>F68-414.12</f>
        <v>-220.23000000000002</v>
      </c>
      <c r="L68" s="43">
        <f>F68/414.12*100</f>
        <v>46.8197623877137</v>
      </c>
      <c r="M68" s="32">
        <v>1109.5</v>
      </c>
      <c r="N68" s="178">
        <f>F68-січень!F68</f>
        <v>170.98</v>
      </c>
      <c r="O68" s="40">
        <f t="shared" si="17"/>
        <v>-938.52</v>
      </c>
      <c r="P68" s="43">
        <f>N68/M68*100</f>
        <v>15.410545290671473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485.71</v>
      </c>
      <c r="G69" s="36">
        <f t="shared" si="15"/>
        <v>-99.14000000000004</v>
      </c>
      <c r="H69" s="32">
        <f>F69/E69*100</f>
        <v>83.04864495169701</v>
      </c>
      <c r="I69" s="43">
        <f t="shared" si="16"/>
        <v>-5514.29</v>
      </c>
      <c r="J69" s="43">
        <f>F69/D69*100</f>
        <v>8.095166666666666</v>
      </c>
      <c r="K69" s="43">
        <f>F69-(-1.6)</f>
        <v>487.31</v>
      </c>
      <c r="L69" s="43">
        <f>F69/(-1.6)*100</f>
        <v>-30356.874999999996</v>
      </c>
      <c r="M69" s="32">
        <v>302</v>
      </c>
      <c r="N69" s="178">
        <f>F69-січень!F69</f>
        <v>202.85999999999996</v>
      </c>
      <c r="O69" s="40">
        <f t="shared" si="17"/>
        <v>-99.14000000000004</v>
      </c>
      <c r="P69" s="43">
        <f>N69/M69*100</f>
        <v>67.17218543046356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681.67</v>
      </c>
      <c r="G71" s="45">
        <f t="shared" si="15"/>
        <v>-1037.58</v>
      </c>
      <c r="H71" s="52">
        <f>F71/E71*100</f>
        <v>39.64926566816926</v>
      </c>
      <c r="I71" s="44">
        <f t="shared" si="16"/>
        <v>-16989.33</v>
      </c>
      <c r="J71" s="44">
        <f>F71/D71*100</f>
        <v>3.8575632392054775</v>
      </c>
      <c r="K71" s="44">
        <f>F71-412.6</f>
        <v>269.06999999999994</v>
      </c>
      <c r="L71" s="44">
        <f>F71/412.6*100</f>
        <v>165.21328162869605</v>
      </c>
      <c r="M71" s="45">
        <f>M67+M68+M69+M70</f>
        <v>1412.5</v>
      </c>
      <c r="N71" s="183">
        <f>N67+N68+N69+N70</f>
        <v>374.8499999999999</v>
      </c>
      <c r="O71" s="44">
        <f t="shared" si="17"/>
        <v>-1037.65</v>
      </c>
      <c r="P71" s="44">
        <f>N71/M71*100</f>
        <v>26.538053097345127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260.22</v>
      </c>
      <c r="G74" s="36">
        <f t="shared" si="15"/>
        <v>-1744.68</v>
      </c>
      <c r="H74" s="32">
        <f>F74/E74*100</f>
        <v>12.97920095765375</v>
      </c>
      <c r="I74" s="43">
        <f t="shared" si="16"/>
        <v>-9239.78</v>
      </c>
      <c r="J74" s="40">
        <f>F74/D74*100</f>
        <v>2.7391578947368425</v>
      </c>
      <c r="K74" s="40">
        <f>F74-0</f>
        <v>260.22</v>
      </c>
      <c r="L74" s="43"/>
      <c r="M74" s="32">
        <v>2004.9</v>
      </c>
      <c r="N74" s="178">
        <f>F74</f>
        <v>260.22</v>
      </c>
      <c r="O74" s="40">
        <f>N74-M74</f>
        <v>-1744.68</v>
      </c>
      <c r="P74" s="46">
        <f>N74/M74*100</f>
        <v>12.97920095765375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0.12</v>
      </c>
      <c r="G75" s="36">
        <f t="shared" si="15"/>
        <v>0.12</v>
      </c>
      <c r="H75" s="32"/>
      <c r="I75" s="43">
        <f t="shared" si="16"/>
        <v>0.12</v>
      </c>
      <c r="J75" s="43"/>
      <c r="K75" s="43">
        <f>F75-0.49</f>
        <v>-0.37</v>
      </c>
      <c r="L75" s="43">
        <f>F75/0.49*100</f>
        <v>24.489795918367346</v>
      </c>
      <c r="M75" s="32"/>
      <c r="N75" s="178">
        <f>F75-січень!F74</f>
        <v>0</v>
      </c>
      <c r="O75" s="40">
        <f t="shared" si="17"/>
        <v>0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260.35</v>
      </c>
      <c r="G76" s="30">
        <f>G72+G75+G73+G74</f>
        <v>-1744.55</v>
      </c>
      <c r="H76" s="52">
        <f>F76/E76*100</f>
        <v>12.985685071574643</v>
      </c>
      <c r="I76" s="44">
        <f t="shared" si="16"/>
        <v>-9240.65</v>
      </c>
      <c r="J76" s="44">
        <f>F76/D76*100</f>
        <v>2.7402378696979266</v>
      </c>
      <c r="K76" s="44">
        <f>F76-0.49</f>
        <v>259.86</v>
      </c>
      <c r="L76" s="44">
        <f>F76/0.49*100</f>
        <v>53132.6530612245</v>
      </c>
      <c r="M76" s="45">
        <f>M72+M75+M73+M74</f>
        <v>2004.9</v>
      </c>
      <c r="N76" s="183">
        <f>N72+N75+N73+N74</f>
        <v>260.23</v>
      </c>
      <c r="O76" s="45">
        <f>O72+O75+O73+O74</f>
        <v>-1744.67</v>
      </c>
      <c r="P76" s="44">
        <f>N76/M76*100</f>
        <v>12.979699735647662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0.35</v>
      </c>
      <c r="G77" s="36">
        <f t="shared" si="15"/>
        <v>-0.37</v>
      </c>
      <c r="H77" s="32">
        <f>F77/E77*100</f>
        <v>48.61111111111111</v>
      </c>
      <c r="I77" s="43">
        <f t="shared" si="16"/>
        <v>-42.65</v>
      </c>
      <c r="J77" s="43">
        <f>F77/D77*100</f>
        <v>0.813953488372093</v>
      </c>
      <c r="K77" s="43">
        <f>F77-0.96</f>
        <v>-0.61</v>
      </c>
      <c r="L77" s="43">
        <f>F77/0.96*100</f>
        <v>36.45833333333333</v>
      </c>
      <c r="M77" s="32">
        <v>0.375</v>
      </c>
      <c r="N77" s="178">
        <f>F77-січень!F76</f>
        <v>0</v>
      </c>
      <c r="O77" s="40">
        <f t="shared" si="17"/>
        <v>-0.375</v>
      </c>
      <c r="P77" s="43">
        <f>N77/M77</f>
        <v>0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942.1</v>
      </c>
      <c r="G79" s="37">
        <f>F79-E79</f>
        <v>-2782.77</v>
      </c>
      <c r="H79" s="38">
        <f>F79/E79*100</f>
        <v>25.2921578471195</v>
      </c>
      <c r="I79" s="28">
        <f>F79-D79</f>
        <v>-26272.9</v>
      </c>
      <c r="J79" s="28">
        <f>F79/D79*100</f>
        <v>3.4616939187947824</v>
      </c>
      <c r="K79" s="28">
        <f>K65+K71+K76+K77</f>
        <v>542.6999999999999</v>
      </c>
      <c r="L79" s="28">
        <f>F79/399.4*100</f>
        <v>235.87881822734101</v>
      </c>
      <c r="M79" s="24">
        <f>M65+M77+M71+M76</f>
        <v>3417.775</v>
      </c>
      <c r="N79" s="24">
        <f>N65+N77+N71+N76+N78</f>
        <v>626.3299999999999</v>
      </c>
      <c r="O79" s="28">
        <f t="shared" si="17"/>
        <v>-2791.445</v>
      </c>
      <c r="P79" s="28">
        <f>N79/M79*100</f>
        <v>18.325665089129622</v>
      </c>
      <c r="Q79" s="28">
        <f>N79-8104.96</f>
        <v>-7478.63</v>
      </c>
      <c r="R79" s="101">
        <f>N79/8104.96</f>
        <v>0.07727737089387239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109564.56000000001</v>
      </c>
      <c r="G80" s="37">
        <f>F80-E80</f>
        <v>-21811.105999999985</v>
      </c>
      <c r="H80" s="38">
        <f>F80/E80*100</f>
        <v>83.39791023400028</v>
      </c>
      <c r="I80" s="28">
        <f>F80-D80</f>
        <v>-801551.0399999999</v>
      </c>
      <c r="J80" s="28">
        <f>F80/D80*100</f>
        <v>12.02531928989033</v>
      </c>
      <c r="K80" s="28">
        <f>K58+K79</f>
        <v>12923.740000000009</v>
      </c>
      <c r="L80" s="28">
        <f>F80/96640.82*100</f>
        <v>113.37296186021601</v>
      </c>
      <c r="M80" s="15">
        <f>M58+M79</f>
        <v>68479.075</v>
      </c>
      <c r="N80" s="15">
        <f>N58+N79</f>
        <v>46636.19000000001</v>
      </c>
      <c r="O80" s="28">
        <f t="shared" si="17"/>
        <v>-21842.884999999987</v>
      </c>
      <c r="P80" s="28">
        <f>N80/M80*100</f>
        <v>68.10283287266952</v>
      </c>
      <c r="Q80" s="28">
        <f>N80-42872.96</f>
        <v>3763.2300000000105</v>
      </c>
      <c r="R80" s="101">
        <f>N80/42872.96</f>
        <v>1.0877763046918154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7</v>
      </c>
      <c r="D82" s="4" t="s">
        <v>36</v>
      </c>
    </row>
    <row r="83" spans="2:17" ht="30.75">
      <c r="B83" s="57" t="s">
        <v>54</v>
      </c>
      <c r="C83" s="31">
        <f>IF(O58&lt;0,ABS(O58/C82),0)</f>
        <v>2721.634285714285</v>
      </c>
      <c r="D83" s="4" t="s">
        <v>24</v>
      </c>
      <c r="G83" s="199"/>
      <c r="H83" s="199"/>
      <c r="I83" s="199"/>
      <c r="J83" s="199"/>
      <c r="K83" s="90"/>
      <c r="L83" s="90"/>
      <c r="P83" s="26"/>
      <c r="Q83" s="26"/>
    </row>
    <row r="84" spans="2:15" ht="34.5" customHeight="1">
      <c r="B84" s="58" t="s">
        <v>56</v>
      </c>
      <c r="C84" s="87">
        <v>42418</v>
      </c>
      <c r="D84" s="31">
        <v>4515.8</v>
      </c>
      <c r="G84" s="4" t="s">
        <v>59</v>
      </c>
      <c r="N84" s="192"/>
      <c r="O84" s="192"/>
    </row>
    <row r="85" spans="3:15" ht="15">
      <c r="C85" s="87">
        <v>42417</v>
      </c>
      <c r="D85" s="31">
        <v>4391.9</v>
      </c>
      <c r="F85" s="124" t="s">
        <v>59</v>
      </c>
      <c r="G85" s="186"/>
      <c r="H85" s="186"/>
      <c r="I85" s="131"/>
      <c r="J85" s="189"/>
      <c r="K85" s="189"/>
      <c r="L85" s="189"/>
      <c r="M85" s="189"/>
      <c r="N85" s="192"/>
      <c r="O85" s="192"/>
    </row>
    <row r="86" spans="3:15" ht="15.75" customHeight="1">
      <c r="C86" s="87">
        <v>42416</v>
      </c>
      <c r="D86" s="31">
        <v>3118.5</v>
      </c>
      <c r="F86" s="73"/>
      <c r="G86" s="186"/>
      <c r="H86" s="186"/>
      <c r="I86" s="131"/>
      <c r="J86" s="193"/>
      <c r="K86" s="193"/>
      <c r="L86" s="193"/>
      <c r="M86" s="193"/>
      <c r="N86" s="192"/>
      <c r="O86" s="192"/>
    </row>
    <row r="87" spans="3:13" ht="15.75" customHeight="1">
      <c r="C87" s="87"/>
      <c r="F87" s="73"/>
      <c r="G87" s="188"/>
      <c r="H87" s="188"/>
      <c r="I87" s="139"/>
      <c r="J87" s="189"/>
      <c r="K87" s="189"/>
      <c r="L87" s="189"/>
      <c r="M87" s="189"/>
    </row>
    <row r="88" spans="2:13" ht="18.75" customHeight="1">
      <c r="B88" s="190" t="s">
        <v>57</v>
      </c>
      <c r="C88" s="191"/>
      <c r="D88" s="148">
        <v>161.35520000000002</v>
      </c>
      <c r="E88" s="74"/>
      <c r="F88" s="140" t="s">
        <v>137</v>
      </c>
      <c r="G88" s="186"/>
      <c r="H88" s="186"/>
      <c r="I88" s="141"/>
      <c r="J88" s="189"/>
      <c r="K88" s="189"/>
      <c r="L88" s="189"/>
      <c r="M88" s="189"/>
    </row>
    <row r="89" spans="6:12" ht="9.75" customHeight="1">
      <c r="F89" s="73"/>
      <c r="G89" s="186"/>
      <c r="H89" s="186"/>
      <c r="I89" s="73"/>
      <c r="J89" s="74"/>
      <c r="K89" s="74"/>
      <c r="L89" s="74"/>
    </row>
    <row r="90" spans="2:12" ht="22.5" customHeight="1" hidden="1">
      <c r="B90" s="184" t="s">
        <v>60</v>
      </c>
      <c r="C90" s="185"/>
      <c r="D90" s="86">
        <v>0</v>
      </c>
      <c r="E90" s="56" t="s">
        <v>24</v>
      </c>
      <c r="F90" s="73"/>
      <c r="G90" s="186"/>
      <c r="H90" s="186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186"/>
      <c r="O91" s="186"/>
    </row>
    <row r="92" spans="4:15" ht="15">
      <c r="D92" s="83"/>
      <c r="I92" s="31"/>
      <c r="N92" s="187"/>
      <c r="O92" s="187"/>
    </row>
    <row r="93" spans="14:15" ht="15">
      <c r="N93" s="186"/>
      <c r="O93" s="186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7">
      <selection activeCell="U63" sqref="U6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06" t="s">
        <v>114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92"/>
      <c r="R1" s="93"/>
    </row>
    <row r="2" spans="2:18" s="1" customFormat="1" ht="15.75" customHeight="1">
      <c r="B2" s="207"/>
      <c r="C2" s="207"/>
      <c r="D2" s="207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08"/>
      <c r="B3" s="210" t="s">
        <v>135</v>
      </c>
      <c r="C3" s="211" t="s">
        <v>0</v>
      </c>
      <c r="D3" s="212" t="s">
        <v>121</v>
      </c>
      <c r="E3" s="34"/>
      <c r="F3" s="213" t="s">
        <v>26</v>
      </c>
      <c r="G3" s="214"/>
      <c r="H3" s="214"/>
      <c r="I3" s="214"/>
      <c r="J3" s="215"/>
      <c r="K3" s="89"/>
      <c r="L3" s="89"/>
      <c r="M3" s="216" t="s">
        <v>132</v>
      </c>
      <c r="N3" s="217" t="s">
        <v>66</v>
      </c>
      <c r="O3" s="217"/>
      <c r="P3" s="217"/>
      <c r="Q3" s="217"/>
      <c r="R3" s="217"/>
    </row>
    <row r="4" spans="1:18" ht="22.5" customHeight="1">
      <c r="A4" s="208"/>
      <c r="B4" s="210"/>
      <c r="C4" s="211"/>
      <c r="D4" s="212"/>
      <c r="E4" s="218" t="s">
        <v>129</v>
      </c>
      <c r="F4" s="200" t="s">
        <v>34</v>
      </c>
      <c r="G4" s="194" t="s">
        <v>130</v>
      </c>
      <c r="H4" s="202" t="s">
        <v>131</v>
      </c>
      <c r="I4" s="194" t="s">
        <v>122</v>
      </c>
      <c r="J4" s="202" t="s">
        <v>123</v>
      </c>
      <c r="K4" s="91" t="s">
        <v>65</v>
      </c>
      <c r="L4" s="96" t="s">
        <v>64</v>
      </c>
      <c r="M4" s="202"/>
      <c r="N4" s="220" t="s">
        <v>133</v>
      </c>
      <c r="O4" s="194" t="s">
        <v>50</v>
      </c>
      <c r="P4" s="196" t="s">
        <v>49</v>
      </c>
      <c r="Q4" s="97" t="s">
        <v>65</v>
      </c>
      <c r="R4" s="98" t="s">
        <v>64</v>
      </c>
    </row>
    <row r="5" spans="1:18" ht="92.25" customHeight="1">
      <c r="A5" s="209"/>
      <c r="B5" s="210"/>
      <c r="C5" s="211"/>
      <c r="D5" s="212"/>
      <c r="E5" s="219"/>
      <c r="F5" s="201"/>
      <c r="G5" s="195"/>
      <c r="H5" s="203"/>
      <c r="I5" s="195"/>
      <c r="J5" s="203"/>
      <c r="K5" s="197" t="s">
        <v>134</v>
      </c>
      <c r="L5" s="198"/>
      <c r="M5" s="203"/>
      <c r="N5" s="221"/>
      <c r="O5" s="195"/>
      <c r="P5" s="196"/>
      <c r="Q5" s="197" t="s">
        <v>120</v>
      </c>
      <c r="R5" s="198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70.2</v>
      </c>
      <c r="G53" s="36">
        <f t="shared" si="7"/>
        <v>70.2</v>
      </c>
      <c r="H53" s="32"/>
      <c r="I53" s="42">
        <f t="shared" si="8"/>
        <v>70.2</v>
      </c>
      <c r="J53" s="42"/>
      <c r="K53" s="112">
        <f>F53-82.7</f>
        <v>-12.5</v>
      </c>
      <c r="L53" s="112">
        <f>F53/82.7*100</f>
        <v>84.8851269649335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199"/>
      <c r="H83" s="199"/>
      <c r="I83" s="199"/>
      <c r="J83" s="199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192"/>
      <c r="O84" s="192"/>
    </row>
    <row r="85" spans="3:15" ht="15">
      <c r="C85" s="87">
        <v>42397</v>
      </c>
      <c r="D85" s="31">
        <v>8685</v>
      </c>
      <c r="F85" s="124" t="s">
        <v>59</v>
      </c>
      <c r="G85" s="186"/>
      <c r="H85" s="186"/>
      <c r="I85" s="131"/>
      <c r="J85" s="189"/>
      <c r="K85" s="189"/>
      <c r="L85" s="189"/>
      <c r="M85" s="189"/>
      <c r="N85" s="192"/>
      <c r="O85" s="192"/>
    </row>
    <row r="86" spans="3:15" ht="15.75" customHeight="1">
      <c r="C86" s="87">
        <v>42396</v>
      </c>
      <c r="D86" s="31">
        <v>4820.3</v>
      </c>
      <c r="F86" s="73"/>
      <c r="G86" s="186"/>
      <c r="H86" s="186"/>
      <c r="I86" s="131"/>
      <c r="J86" s="193"/>
      <c r="K86" s="193"/>
      <c r="L86" s="193"/>
      <c r="M86" s="193"/>
      <c r="N86" s="192"/>
      <c r="O86" s="192"/>
    </row>
    <row r="87" spans="3:13" ht="15.75" customHeight="1">
      <c r="C87" s="87"/>
      <c r="F87" s="73"/>
      <c r="G87" s="188"/>
      <c r="H87" s="188"/>
      <c r="I87" s="139"/>
      <c r="J87" s="189"/>
      <c r="K87" s="189"/>
      <c r="L87" s="189"/>
      <c r="M87" s="189"/>
    </row>
    <row r="88" spans="2:13" ht="18.75" customHeight="1">
      <c r="B88" s="190" t="s">
        <v>57</v>
      </c>
      <c r="C88" s="191"/>
      <c r="D88" s="148">
        <v>300.92</v>
      </c>
      <c r="E88" s="74"/>
      <c r="F88" s="140"/>
      <c r="G88" s="186"/>
      <c r="H88" s="186"/>
      <c r="I88" s="141"/>
      <c r="J88" s="189"/>
      <c r="K88" s="189"/>
      <c r="L88" s="189"/>
      <c r="M88" s="189"/>
    </row>
    <row r="89" spans="6:12" ht="9.75" customHeight="1">
      <c r="F89" s="73"/>
      <c r="G89" s="186"/>
      <c r="H89" s="186"/>
      <c r="I89" s="73"/>
      <c r="J89" s="74"/>
      <c r="K89" s="74"/>
      <c r="L89" s="74"/>
    </row>
    <row r="90" spans="2:12" ht="22.5" customHeight="1" hidden="1">
      <c r="B90" s="184" t="s">
        <v>60</v>
      </c>
      <c r="C90" s="185"/>
      <c r="D90" s="86">
        <v>0</v>
      </c>
      <c r="E90" s="56" t="s">
        <v>24</v>
      </c>
      <c r="F90" s="73"/>
      <c r="G90" s="186"/>
      <c r="H90" s="186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186"/>
      <c r="O91" s="186"/>
    </row>
    <row r="92" spans="4:15" ht="15">
      <c r="D92" s="83"/>
      <c r="I92" s="31"/>
      <c r="N92" s="187"/>
      <c r="O92" s="187"/>
    </row>
    <row r="93" spans="14:15" ht="15">
      <c r="N93" s="186"/>
      <c r="O93" s="186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D6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K27" sqref="K2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06" t="s">
        <v>114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92"/>
      <c r="R1" s="93"/>
    </row>
    <row r="2" spans="2:18" s="1" customFormat="1" ht="15.75" customHeight="1">
      <c r="B2" s="207"/>
      <c r="C2" s="207"/>
      <c r="D2" s="207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208"/>
      <c r="B3" s="210" t="s">
        <v>136</v>
      </c>
      <c r="C3" s="211" t="s">
        <v>0</v>
      </c>
      <c r="D3" s="212" t="s">
        <v>115</v>
      </c>
      <c r="E3" s="34"/>
      <c r="F3" s="213" t="s">
        <v>26</v>
      </c>
      <c r="G3" s="214"/>
      <c r="H3" s="214"/>
      <c r="I3" s="214"/>
      <c r="J3" s="215"/>
      <c r="K3" s="89"/>
      <c r="L3" s="89"/>
      <c r="M3" s="216" t="s">
        <v>107</v>
      </c>
      <c r="N3" s="217" t="s">
        <v>66</v>
      </c>
      <c r="O3" s="217"/>
      <c r="P3" s="217"/>
      <c r="Q3" s="217"/>
      <c r="R3" s="217"/>
    </row>
    <row r="4" spans="1:18" ht="22.5" customHeight="1">
      <c r="A4" s="208"/>
      <c r="B4" s="210"/>
      <c r="C4" s="211"/>
      <c r="D4" s="212"/>
      <c r="E4" s="218" t="s">
        <v>104</v>
      </c>
      <c r="F4" s="222" t="s">
        <v>34</v>
      </c>
      <c r="G4" s="194" t="s">
        <v>109</v>
      </c>
      <c r="H4" s="202" t="s">
        <v>110</v>
      </c>
      <c r="I4" s="194" t="s">
        <v>105</v>
      </c>
      <c r="J4" s="202" t="s">
        <v>106</v>
      </c>
      <c r="K4" s="91" t="s">
        <v>65</v>
      </c>
      <c r="L4" s="96" t="s">
        <v>64</v>
      </c>
      <c r="M4" s="202"/>
      <c r="N4" s="220" t="s">
        <v>103</v>
      </c>
      <c r="O4" s="194" t="s">
        <v>50</v>
      </c>
      <c r="P4" s="196" t="s">
        <v>49</v>
      </c>
      <c r="Q4" s="97" t="s">
        <v>65</v>
      </c>
      <c r="R4" s="98" t="s">
        <v>64</v>
      </c>
    </row>
    <row r="5" spans="1:18" ht="76.5" customHeight="1">
      <c r="A5" s="209"/>
      <c r="B5" s="210"/>
      <c r="C5" s="211"/>
      <c r="D5" s="212"/>
      <c r="E5" s="219"/>
      <c r="F5" s="223"/>
      <c r="G5" s="195"/>
      <c r="H5" s="203"/>
      <c r="I5" s="195"/>
      <c r="J5" s="203"/>
      <c r="K5" s="197" t="s">
        <v>108</v>
      </c>
      <c r="L5" s="198"/>
      <c r="M5" s="203"/>
      <c r="N5" s="221"/>
      <c r="O5" s="195"/>
      <c r="P5" s="196"/>
      <c r="Q5" s="197" t="s">
        <v>126</v>
      </c>
      <c r="R5" s="198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70.2</v>
      </c>
      <c r="G53" s="36">
        <f t="shared" si="11"/>
        <v>70.2</v>
      </c>
      <c r="H53" s="32"/>
      <c r="I53" s="42">
        <f t="shared" si="12"/>
        <v>70.2</v>
      </c>
      <c r="J53" s="42"/>
      <c r="K53" s="112">
        <f>F53-82.7</f>
        <v>-12.5</v>
      </c>
      <c r="L53" s="112">
        <f>F53/82.7*100</f>
        <v>84.8851269649335</v>
      </c>
      <c r="M53" s="32">
        <f t="shared" si="13"/>
        <v>0</v>
      </c>
      <c r="N53" s="32">
        <f t="shared" si="14"/>
        <v>70.2</v>
      </c>
      <c r="O53" s="40">
        <f t="shared" si="15"/>
        <v>70.2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199"/>
      <c r="H82" s="199"/>
      <c r="I82" s="199"/>
      <c r="J82" s="199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192"/>
      <c r="O83" s="192"/>
    </row>
    <row r="84" spans="3:15" ht="15">
      <c r="C84" s="87">
        <v>42397</v>
      </c>
      <c r="D84" s="31">
        <v>8685</v>
      </c>
      <c r="F84" s="166" t="s">
        <v>59</v>
      </c>
      <c r="G84" s="186"/>
      <c r="H84" s="186"/>
      <c r="I84" s="131"/>
      <c r="J84" s="189"/>
      <c r="K84" s="189"/>
      <c r="L84" s="189"/>
      <c r="M84" s="189"/>
      <c r="N84" s="192"/>
      <c r="O84" s="192"/>
    </row>
    <row r="85" spans="3:15" ht="15.75" customHeight="1">
      <c r="C85" s="87">
        <v>42396</v>
      </c>
      <c r="D85" s="31">
        <v>4820.3</v>
      </c>
      <c r="F85" s="167"/>
      <c r="G85" s="186"/>
      <c r="H85" s="186"/>
      <c r="I85" s="131"/>
      <c r="J85" s="193"/>
      <c r="K85" s="193"/>
      <c r="L85" s="193"/>
      <c r="M85" s="193"/>
      <c r="N85" s="192"/>
      <c r="O85" s="192"/>
    </row>
    <row r="86" spans="3:13" ht="15.75" customHeight="1">
      <c r="C86" s="87"/>
      <c r="F86" s="167"/>
      <c r="G86" s="188"/>
      <c r="H86" s="188"/>
      <c r="I86" s="139"/>
      <c r="J86" s="189"/>
      <c r="K86" s="189"/>
      <c r="L86" s="189"/>
      <c r="M86" s="189"/>
    </row>
    <row r="87" spans="2:13" ht="18.75" customHeight="1">
      <c r="B87" s="190" t="s">
        <v>57</v>
      </c>
      <c r="C87" s="191"/>
      <c r="D87" s="148">
        <v>300.92</v>
      </c>
      <c r="E87" s="74"/>
      <c r="F87" s="168"/>
      <c r="G87" s="186"/>
      <c r="H87" s="186"/>
      <c r="I87" s="141"/>
      <c r="J87" s="189"/>
      <c r="K87" s="189"/>
      <c r="L87" s="189"/>
      <c r="M87" s="189"/>
    </row>
    <row r="88" spans="6:12" ht="9.75" customHeight="1">
      <c r="F88" s="167"/>
      <c r="G88" s="186"/>
      <c r="H88" s="186"/>
      <c r="I88" s="73"/>
      <c r="J88" s="74"/>
      <c r="K88" s="74"/>
      <c r="L88" s="74"/>
    </row>
    <row r="89" spans="2:12" ht="22.5" customHeight="1" hidden="1">
      <c r="B89" s="184" t="s">
        <v>60</v>
      </c>
      <c r="C89" s="185"/>
      <c r="D89" s="86">
        <v>0</v>
      </c>
      <c r="E89" s="56" t="s">
        <v>24</v>
      </c>
      <c r="F89" s="167"/>
      <c r="G89" s="186"/>
      <c r="H89" s="186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186"/>
      <c r="O90" s="186"/>
    </row>
    <row r="91" spans="4:15" ht="15">
      <c r="D91" s="83"/>
      <c r="I91" s="31"/>
      <c r="N91" s="187"/>
      <c r="O91" s="187"/>
    </row>
    <row r="92" spans="14:15" ht="15">
      <c r="N92" s="186"/>
      <c r="O92" s="186"/>
    </row>
    <row r="96" ht="15">
      <c r="E96" s="4" t="s">
        <v>59</v>
      </c>
    </row>
  </sheetData>
  <sheetProtection/>
  <mergeCells count="39">
    <mergeCell ref="G88:H88"/>
    <mergeCell ref="N92:O92"/>
    <mergeCell ref="B89:C89"/>
    <mergeCell ref="G89:H89"/>
    <mergeCell ref="N90:O90"/>
    <mergeCell ref="N91:O91"/>
    <mergeCell ref="G85:H85"/>
    <mergeCell ref="J85:M85"/>
    <mergeCell ref="N85:O85"/>
    <mergeCell ref="G86:H86"/>
    <mergeCell ref="J86:M86"/>
    <mergeCell ref="B87:C87"/>
    <mergeCell ref="G87:H87"/>
    <mergeCell ref="J87:M87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F4:F5"/>
    <mergeCell ref="G4:G5"/>
    <mergeCell ref="H4:H5"/>
    <mergeCell ref="I4:I5"/>
    <mergeCell ref="Q5:R5"/>
    <mergeCell ref="P4:P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2016-02-19T08:20:18Z</cp:lastPrinted>
  <dcterms:created xsi:type="dcterms:W3CDTF">2003-07-28T11:27:56Z</dcterms:created>
  <dcterms:modified xsi:type="dcterms:W3CDTF">2016-02-19T09:43:40Z</dcterms:modified>
  <cp:category/>
  <cp:version/>
  <cp:contentType/>
  <cp:contentStatus/>
</cp:coreProperties>
</file>